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C:\Documents\Pilot\Meridian\"/>
    </mc:Choice>
  </mc:AlternateContent>
  <xr:revisionPtr revIDLastSave="0" documentId="13_ncr:1_{E1C54406-6A55-4381-B3B0-B41B7268506A}" xr6:coauthVersionLast="45" xr6:coauthVersionMax="45" xr10:uidLastSave="{00000000-0000-0000-0000-000000000000}"/>
  <bookViews>
    <workbookView xWindow="-108" yWindow="-108" windowWidth="19416" windowHeight="10560" xr2:uid="{00000000-000D-0000-FFFF-FFFF00000000}"/>
  </bookViews>
  <sheets>
    <sheet name="W&amp;B" sheetId="1" r:id="rId1"/>
  </sheets>
  <definedNames>
    <definedName name="_xlnm.Print_Area" localSheetId="0">'W&amp;B'!$A$1:$E$56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" l="1"/>
  <c r="C5" i="1"/>
  <c r="C7" i="1"/>
  <c r="A23" i="1"/>
  <c r="D23" i="1"/>
  <c r="D25" i="1"/>
  <c r="A22" i="1"/>
  <c r="I34" i="1"/>
  <c r="I33" i="1"/>
  <c r="C4" i="1"/>
  <c r="I32" i="1"/>
  <c r="G25" i="1"/>
  <c r="E6" i="1"/>
  <c r="E5" i="1"/>
  <c r="E7" i="1"/>
  <c r="E8" i="1"/>
  <c r="E9" i="1"/>
  <c r="C10" i="1"/>
  <c r="D10" i="1"/>
  <c r="E10" i="1"/>
  <c r="E11" i="1"/>
  <c r="C9" i="1"/>
  <c r="C11" i="1"/>
  <c r="D11" i="1"/>
  <c r="G26" i="1"/>
  <c r="D9" i="1"/>
  <c r="G24" i="1"/>
  <c r="G22" i="1"/>
  <c r="D24" i="1"/>
  <c r="D22" i="1"/>
  <c r="A25" i="1"/>
  <c r="D26" i="1"/>
  <c r="D21" i="1"/>
  <c r="A21" i="1"/>
  <c r="G21" i="1"/>
  <c r="G14" i="1"/>
  <c r="F11" i="1"/>
  <c r="F9" i="1"/>
</calcChain>
</file>

<file path=xl/sharedStrings.xml><?xml version="1.0" encoding="utf-8"?>
<sst xmlns="http://schemas.openxmlformats.org/spreadsheetml/2006/main" count="53" uniqueCount="47">
  <si>
    <t>Item</t>
  </si>
  <si>
    <t>Utility</t>
  </si>
  <si>
    <t>Normal</t>
  </si>
  <si>
    <t>Total</t>
  </si>
  <si>
    <t>Aircraft Licensed Empty Weight</t>
  </si>
  <si>
    <t>Weight and Balance Worksheet</t>
  </si>
  <si>
    <t>Front Seats</t>
  </si>
  <si>
    <t>Pilot:</t>
  </si>
  <si>
    <t>Copilot:</t>
  </si>
  <si>
    <t>Rear Left:</t>
  </si>
  <si>
    <t>Rear Right:</t>
  </si>
  <si>
    <t>Remaining Useful Load:</t>
  </si>
  <si>
    <t>USAGE:</t>
  </si>
  <si>
    <t>Fill out the areas in GREEN</t>
  </si>
  <si>
    <t>SETUP:</t>
  </si>
  <si>
    <t xml:space="preserve">If you need to change the envelopes on </t>
  </si>
  <si>
    <t>the operating chart:   Drag the chart</t>
  </si>
  <si>
    <t xml:space="preserve">to the right or down to reveal the cells </t>
  </si>
  <si>
    <t>behind it and modify them to match the</t>
  </si>
  <si>
    <t>chart for your aircraft.</t>
  </si>
  <si>
    <t>lbs.</t>
  </si>
  <si>
    <t>gal.</t>
  </si>
  <si>
    <t>Warnings:</t>
  </si>
  <si>
    <t>Other Information</t>
  </si>
  <si>
    <t>inches</t>
  </si>
  <si>
    <t>less fuel used</t>
  </si>
  <si>
    <t>Fuel (gal):</t>
  </si>
  <si>
    <t>Seat Occupancy</t>
  </si>
  <si>
    <t>Forward CG @</t>
  </si>
  <si>
    <t>Information Manual Limitations</t>
  </si>
  <si>
    <t>Maximum Gross Weight</t>
  </si>
  <si>
    <t>Aft CG @ all weights</t>
  </si>
  <si>
    <t>Maximum Usable Fuel</t>
  </si>
  <si>
    <t>Minimum Fuel for Safety</t>
  </si>
  <si>
    <t>Weight (lbs.)</t>
  </si>
  <si>
    <t>Arm (inches)</t>
  </si>
  <si>
    <t>Moment (in.-lbs.)</t>
  </si>
  <si>
    <t>Fuel (38 Gallons Maximum Usable)</t>
  </si>
  <si>
    <t>Oil</t>
  </si>
  <si>
    <t>Oil (qts.)</t>
  </si>
  <si>
    <t>Baggage Area</t>
  </si>
  <si>
    <t>Maximum Baggage Area</t>
  </si>
  <si>
    <t>landing weight</t>
  </si>
  <si>
    <t xml:space="preserve"> </t>
  </si>
  <si>
    <t>Passenger Seats</t>
  </si>
  <si>
    <t>Cessna 172L</t>
  </si>
  <si>
    <t>N7288Q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</si>
</sst>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&quot; LBS&quot;"/>
    <numFmt numFmtId="165" formatCode="#,##0.0"/>
    <numFmt numFmtId="166" formatCode="0&quot; gal.&quot;"/>
    <numFmt numFmtId="167" formatCode="0&quot; lbs.&quot;"/>
    <numFmt numFmtId="168" formatCode="0&quot; qts.&quot;"/>
  </numFmts>
  <fonts count="13">
    <font>
      <sz val="9"/>
      <name val="Geneva"/>
    </font>
    <font>
      <b/>
      <sz val="9"/>
      <name val="Geneva"/>
    </font>
    <font>
      <sz val="9"/>
      <name val="Geneva"/>
    </font>
    <font>
      <sz val="8"/>
      <name val="Geneva"/>
    </font>
    <font>
      <sz val="9"/>
      <color indexed="9"/>
      <name val="Geneva"/>
    </font>
    <font>
      <b/>
      <sz val="12"/>
      <name val="Geneva"/>
    </font>
    <font>
      <b/>
      <sz val="14"/>
      <name val="Geneva"/>
    </font>
    <font>
      <b/>
      <sz val="9"/>
      <name val="Geneva"/>
    </font>
    <font>
      <b/>
      <sz val="9"/>
      <color indexed="16"/>
      <name val="Geneva"/>
      <family val="2"/>
    </font>
    <font>
      <b/>
      <sz val="9"/>
      <color indexed="9"/>
      <name val="Geneva"/>
      <family val="2"/>
    </font>
    <font>
      <b/>
      <sz val="18"/>
      <color rgb="FFC00000"/>
      <name val="Arial"/>
      <family val="2"/>
    </font>
    <font>
      <sz val="8"/>
      <color rgb="FFC00000"/>
      <name val="Arial"/>
      <family val="2"/>
    </font>
    <font>
      <b/>
      <sz val="9"/>
      <color rgb="FFC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43" fontId="4" fillId="0" borderId="0" xfId="0" applyNumberFormat="1" applyFont="1" applyAlignment="1" applyProtection="1">
      <alignment vertical="center"/>
      <protection hidden="1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165" fontId="0" fillId="0" borderId="0" xfId="0" applyNumberFormat="1" applyBorder="1"/>
    <xf numFmtId="0" fontId="0" fillId="0" borderId="2" xfId="0" applyBorder="1"/>
    <xf numFmtId="0" fontId="10" fillId="6" borderId="6" xfId="0" applyFont="1" applyFill="1" applyBorder="1" applyAlignment="1" applyProtection="1">
      <alignment horizontal="left"/>
    </xf>
    <xf numFmtId="0" fontId="11" fillId="6" borderId="7" xfId="0" applyFont="1" applyFill="1" applyBorder="1" applyProtection="1"/>
    <xf numFmtId="0" fontId="11" fillId="6" borderId="0" xfId="0" applyFont="1" applyFill="1" applyBorder="1" applyProtection="1"/>
    <xf numFmtId="0" fontId="11" fillId="6" borderId="4" xfId="0" applyFont="1" applyFill="1" applyBorder="1" applyProtection="1"/>
    <xf numFmtId="0" fontId="0" fillId="2" borderId="8" xfId="0" applyFill="1" applyBorder="1" applyAlignment="1"/>
    <xf numFmtId="0" fontId="0" fillId="2" borderId="9" xfId="0" applyFill="1" applyBorder="1" applyAlignment="1"/>
    <xf numFmtId="0" fontId="7" fillId="2" borderId="10" xfId="0" applyFont="1" applyFill="1" applyBorder="1" applyProtection="1">
      <protection locked="0"/>
    </xf>
    <xf numFmtId="0" fontId="11" fillId="6" borderId="11" xfId="0" applyFont="1" applyFill="1" applyBorder="1" applyProtection="1"/>
    <xf numFmtId="2" fontId="11" fillId="6" borderId="2" xfId="0" applyNumberFormat="1" applyFont="1" applyFill="1" applyBorder="1" applyProtection="1"/>
    <xf numFmtId="0" fontId="11" fillId="6" borderId="2" xfId="0" applyFont="1" applyFill="1" applyBorder="1" applyProtection="1"/>
    <xf numFmtId="2" fontId="11" fillId="6" borderId="5" xfId="0" applyNumberFormat="1" applyFont="1" applyFill="1" applyBorder="1" applyProtection="1"/>
    <xf numFmtId="0" fontId="0" fillId="0" borderId="0" xfId="0" applyProtection="1"/>
    <xf numFmtId="0" fontId="0" fillId="0" borderId="0" xfId="0" applyBorder="1" applyProtection="1"/>
    <xf numFmtId="1" fontId="7" fillId="2" borderId="12" xfId="0" applyNumberFormat="1" applyFont="1" applyFill="1" applyBorder="1" applyProtection="1">
      <protection locked="0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0" fontId="12" fillId="6" borderId="1" xfId="0" applyFont="1" applyFill="1" applyBorder="1" applyProtection="1"/>
    <xf numFmtId="0" fontId="12" fillId="6" borderId="3" xfId="0" applyFont="1" applyFill="1" applyBorder="1" applyProtection="1"/>
    <xf numFmtId="1" fontId="7" fillId="2" borderId="10" xfId="0" applyNumberFormat="1" applyFont="1" applyFill="1" applyBorder="1" applyProtection="1">
      <protection locked="0"/>
    </xf>
    <xf numFmtId="3" fontId="0" fillId="0" borderId="0" xfId="0" applyNumberFormat="1" applyBorder="1"/>
    <xf numFmtId="0" fontId="0" fillId="0" borderId="0" xfId="0" applyBorder="1"/>
    <xf numFmtId="0" fontId="0" fillId="0" borderId="4" xfId="0" applyBorder="1"/>
    <xf numFmtId="3" fontId="0" fillId="0" borderId="4" xfId="0" applyNumberFormat="1" applyBorder="1"/>
    <xf numFmtId="0" fontId="0" fillId="0" borderId="5" xfId="0" applyBorder="1"/>
    <xf numFmtId="0" fontId="7" fillId="2" borderId="12" xfId="0" applyFont="1" applyFill="1" applyBorder="1" applyProtection="1">
      <protection locked="0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0" xfId="0" applyFont="1" applyFill="1" applyBorder="1" applyProtection="1"/>
    <xf numFmtId="0" fontId="6" fillId="4" borderId="15" xfId="0" applyFont="1" applyFill="1" applyBorder="1" applyAlignment="1" applyProtection="1">
      <alignment horizontal="center" vertical="center"/>
    </xf>
    <xf numFmtId="0" fontId="1" fillId="0" borderId="1" xfId="0" applyFont="1" applyBorder="1" applyProtection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2" fillId="0" borderId="1" xfId="0" applyFont="1" applyBorder="1" applyProtection="1"/>
    <xf numFmtId="4" fontId="2" fillId="0" borderId="0" xfId="1" applyNumberFormat="1" applyFont="1" applyBorder="1" applyAlignment="1" applyProtection="1">
      <alignment horizontal="right"/>
    </xf>
    <xf numFmtId="0" fontId="0" fillId="0" borderId="1" xfId="0" applyBorder="1" applyProtection="1"/>
    <xf numFmtId="0" fontId="1" fillId="0" borderId="1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4" fontId="1" fillId="0" borderId="0" xfId="1" applyNumberFormat="1" applyFont="1" applyBorder="1" applyAlignment="1" applyProtection="1">
      <alignment horizontal="right" vertical="center"/>
    </xf>
    <xf numFmtId="166" fontId="0" fillId="0" borderId="0" xfId="0" applyNumberFormat="1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166" fontId="7" fillId="2" borderId="16" xfId="0" applyNumberFormat="1" applyFont="1" applyFill="1" applyBorder="1" applyAlignment="1" applyProtection="1">
      <alignment horizontal="center"/>
    </xf>
    <xf numFmtId="4" fontId="2" fillId="0" borderId="7" xfId="1" applyNumberFormat="1" applyFont="1" applyBorder="1" applyAlignment="1" applyProtection="1">
      <alignment horizontal="right"/>
    </xf>
    <xf numFmtId="0" fontId="1" fillId="0" borderId="3" xfId="0" applyFon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4" fontId="1" fillId="0" borderId="4" xfId="1" applyNumberFormat="1" applyFont="1" applyBorder="1" applyAlignment="1" applyProtection="1">
      <alignment horizontal="right" vertical="center"/>
    </xf>
    <xf numFmtId="3" fontId="2" fillId="0" borderId="0" xfId="1" applyNumberFormat="1" applyFont="1" applyFill="1" applyBorder="1" applyAlignment="1" applyProtection="1">
      <alignment horizontal="right"/>
    </xf>
    <xf numFmtId="3" fontId="1" fillId="0" borderId="0" xfId="1" applyNumberFormat="1" applyFont="1" applyBorder="1" applyAlignment="1" applyProtection="1">
      <alignment horizontal="right" vertical="center"/>
    </xf>
    <xf numFmtId="3" fontId="2" fillId="0" borderId="7" xfId="1" applyNumberFormat="1" applyFont="1" applyBorder="1" applyAlignment="1" applyProtection="1">
      <alignment horizontal="right"/>
    </xf>
    <xf numFmtId="3" fontId="1" fillId="0" borderId="4" xfId="1" applyNumberFormat="1" applyFont="1" applyBorder="1" applyAlignment="1" applyProtection="1">
      <alignment horizontal="right" vertical="center"/>
    </xf>
    <xf numFmtId="3" fontId="2" fillId="0" borderId="2" xfId="1" applyNumberFormat="1" applyFont="1" applyBorder="1" applyAlignment="1" applyProtection="1">
      <alignment horizontal="right"/>
    </xf>
    <xf numFmtId="3" fontId="1" fillId="0" borderId="2" xfId="0" applyNumberFormat="1" applyFont="1" applyBorder="1" applyAlignment="1" applyProtection="1">
      <alignment horizontal="right" vertical="center"/>
    </xf>
    <xf numFmtId="3" fontId="2" fillId="0" borderId="11" xfId="1" applyNumberFormat="1" applyFont="1" applyBorder="1" applyAlignment="1" applyProtection="1">
      <alignment horizontal="right"/>
    </xf>
    <xf numFmtId="3" fontId="1" fillId="0" borderId="5" xfId="0" applyNumberFormat="1" applyFont="1" applyBorder="1" applyAlignment="1" applyProtection="1">
      <alignment horizontal="right" vertical="center"/>
    </xf>
    <xf numFmtId="3" fontId="0" fillId="0" borderId="0" xfId="1" applyNumberFormat="1" applyFont="1" applyFill="1" applyBorder="1" applyAlignment="1" applyProtection="1">
      <alignment horizontal="right"/>
    </xf>
    <xf numFmtId="167" fontId="0" fillId="0" borderId="0" xfId="0" applyNumberFormat="1" applyBorder="1"/>
    <xf numFmtId="0" fontId="0" fillId="0" borderId="1" xfId="0" applyBorder="1"/>
    <xf numFmtId="2" fontId="2" fillId="0" borderId="0" xfId="1" applyNumberFormat="1" applyFont="1" applyBorder="1" applyAlignment="1" applyProtection="1">
      <alignment horizontal="right"/>
    </xf>
    <xf numFmtId="168" fontId="0" fillId="0" borderId="0" xfId="0" applyNumberFormat="1" applyFont="1" applyFill="1" applyBorder="1" applyAlignment="1" applyProtection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9" fillId="5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2" borderId="19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5" fillId="4" borderId="21" xfId="0" applyFont="1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5" fillId="4" borderId="22" xfId="0" applyFont="1" applyFill="1" applyBorder="1" applyAlignment="1" applyProtection="1">
      <alignment horizontal="center" vertical="center"/>
    </xf>
    <xf numFmtId="0" fontId="0" fillId="4" borderId="22" xfId="0" applyFill="1" applyBorder="1" applyAlignment="1" applyProtection="1">
      <alignment horizontal="center"/>
    </xf>
    <xf numFmtId="0" fontId="1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3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33534743202417"/>
          <c:y val="0.1005919097323212"/>
          <c:w val="0.83836858006042292"/>
          <c:h val="0.76134268934658789"/>
        </c:manualLayout>
      </c:layout>
      <c:scatterChart>
        <c:scatterStyle val="lineMarker"/>
        <c:varyColors val="0"/>
        <c:ser>
          <c:idx val="1"/>
          <c:order val="0"/>
          <c:tx>
            <c:v>Normal Category</c:v>
          </c:tx>
          <c:spPr>
            <a:ln w="381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'W&amp;B'!$D$21:$D$26</c:f>
              <c:numCache>
                <c:formatCode>General</c:formatCode>
                <c:ptCount val="6"/>
                <c:pt idx="0">
                  <c:v>52.5</c:v>
                </c:pt>
                <c:pt idx="1">
                  <c:v>68.775000000000006</c:v>
                </c:pt>
                <c:pt idx="2">
                  <c:v>88.55</c:v>
                </c:pt>
                <c:pt idx="3">
                  <c:v>94.3</c:v>
                </c:pt>
                <c:pt idx="4">
                  <c:v>108.56</c:v>
                </c:pt>
                <c:pt idx="5">
                  <c:v>70.95</c:v>
                </c:pt>
              </c:numCache>
            </c:numRef>
          </c:xVal>
          <c:yVal>
            <c:numRef>
              <c:f>'W&amp;B'!$E$21:$E$26</c:f>
              <c:numCache>
                <c:formatCode>General</c:formatCode>
                <c:ptCount val="6"/>
                <c:pt idx="0">
                  <c:v>1500</c:v>
                </c:pt>
                <c:pt idx="1">
                  <c:v>1965</c:v>
                </c:pt>
                <c:pt idx="2">
                  <c:v>2300</c:v>
                </c:pt>
                <c:pt idx="3">
                  <c:v>2300</c:v>
                </c:pt>
                <c:pt idx="4">
                  <c:v>2300</c:v>
                </c:pt>
                <c:pt idx="5">
                  <c:v>1500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81-41DB-A840-F08EBADF65FB}"/>
            </c:ext>
          </c:extLst>
        </c:ser>
        <c:ser>
          <c:idx val="0"/>
          <c:order val="1"/>
          <c:tx>
            <c:v>Utility Category</c:v>
          </c:tx>
          <c:spPr>
            <a:ln w="25400">
              <a:solidFill>
                <a:srgbClr val="1FB714"/>
              </a:solidFill>
              <a:prstDash val="solid"/>
            </a:ln>
          </c:spPr>
          <c:marker>
            <c:symbol val="none"/>
          </c:marker>
          <c:xVal>
            <c:numRef>
              <c:f>'W&amp;B'!$A$21:$A$25</c:f>
              <c:numCache>
                <c:formatCode>General</c:formatCode>
                <c:ptCount val="5"/>
                <c:pt idx="0">
                  <c:v>52.5</c:v>
                </c:pt>
                <c:pt idx="1">
                  <c:v>68.775000000000006</c:v>
                </c:pt>
                <c:pt idx="2">
                  <c:v>71</c:v>
                </c:pt>
                <c:pt idx="3">
                  <c:v>81</c:v>
                </c:pt>
                <c:pt idx="4">
                  <c:v>60.75</c:v>
                </c:pt>
              </c:numCache>
            </c:numRef>
          </c:xVal>
          <c:yVal>
            <c:numRef>
              <c:f>'W&amp;B'!$B$21:$B$25</c:f>
              <c:numCache>
                <c:formatCode>General</c:formatCode>
                <c:ptCount val="5"/>
                <c:pt idx="0">
                  <c:v>1500</c:v>
                </c:pt>
                <c:pt idx="1">
                  <c:v>1965</c:v>
                </c:pt>
                <c:pt idx="2">
                  <c:v>2000</c:v>
                </c:pt>
                <c:pt idx="3">
                  <c:v>2000</c:v>
                </c:pt>
                <c:pt idx="4">
                  <c:v>1500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81-41DB-A840-F08EBADF65FB}"/>
            </c:ext>
          </c:extLst>
        </c:ser>
        <c:ser>
          <c:idx val="2"/>
          <c:order val="2"/>
          <c:tx>
            <c:v>Operating point</c:v>
          </c:tx>
          <c:spPr>
            <a:ln w="12700">
              <a:solidFill>
                <a:srgbClr val="FCF305"/>
              </a:solidFill>
              <a:prstDash val="solid"/>
            </a:ln>
          </c:spPr>
          <c:marker>
            <c:symbol val="diamond"/>
            <c:size val="12"/>
            <c:spPr>
              <a:solidFill>
                <a:srgbClr val="FF6600"/>
              </a:solidFill>
              <a:ln>
                <a:solidFill>
                  <a:srgbClr val="DD0806"/>
                </a:solidFill>
                <a:prstDash val="solid"/>
              </a:ln>
            </c:spPr>
          </c:marker>
          <c:xVal>
            <c:numRef>
              <c:f>'W&amp;B'!$F$9</c:f>
              <c:numCache>
                <c:formatCode>_(* #,##0.00_);_(* \(#,##0.00\);_(* "-"??_);_(@_)</c:formatCode>
                <c:ptCount val="1"/>
                <c:pt idx="0">
                  <c:v>79.739710000000002</c:v>
                </c:pt>
              </c:numCache>
            </c:numRef>
          </c:xVal>
          <c:yVal>
            <c:numRef>
              <c:f>'W&amp;B'!$C$9</c:f>
              <c:numCache>
                <c:formatCode>#,##0</c:formatCode>
                <c:ptCount val="1"/>
                <c:pt idx="0">
                  <c:v>1948.25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681-41DB-A840-F08EBADF65FB}"/>
            </c:ext>
          </c:extLst>
        </c:ser>
        <c:ser>
          <c:idx val="3"/>
          <c:order val="3"/>
          <c:tx>
            <c:v>Landing Fuel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'W&amp;B'!$F$11</c:f>
              <c:numCache>
                <c:formatCode>_(* #,##0.00_);_(* \(#,##0.00\);_(* "-"??_);_(@_)</c:formatCode>
                <c:ptCount val="1"/>
                <c:pt idx="0">
                  <c:v>76.850710000000007</c:v>
                </c:pt>
              </c:numCache>
            </c:numRef>
          </c:xVal>
          <c:yVal>
            <c:numRef>
              <c:f>'W&amp;B'!$C$11</c:f>
              <c:numCache>
                <c:formatCode>#,##0</c:formatCode>
                <c:ptCount val="1"/>
                <c:pt idx="0">
                  <c:v>1888.25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681-41DB-A840-F08EBADF6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3233736"/>
        <c:axId val="1"/>
      </c:scatterChart>
      <c:valAx>
        <c:axId val="333233736"/>
        <c:scaling>
          <c:orientation val="minMax"/>
          <c:max val="112"/>
          <c:min val="4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en-US"/>
                  <a:t>Loaded Aircraft Moment/1000 (pound-inches)</a:t>
                </a:r>
              </a:p>
            </c:rich>
          </c:tx>
          <c:layout>
            <c:manualLayout>
              <c:xMode val="edge"/>
              <c:yMode val="edge"/>
              <c:x val="0.37167571248164116"/>
              <c:y val="0.917856616237577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1"/>
        <c:crosses val="autoZero"/>
        <c:crossBetween val="midCat"/>
        <c:majorUnit val="5"/>
        <c:minorUnit val="2.5"/>
      </c:valAx>
      <c:valAx>
        <c:axId val="1"/>
        <c:scaling>
          <c:orientation val="minMax"/>
          <c:max val="2400"/>
          <c:min val="15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en-US"/>
                  <a:t>Loaded Aiircraft</a:t>
                </a:r>
                <a:r>
                  <a:rPr lang="en-US" baseline="0"/>
                  <a:t> </a:t>
                </a:r>
                <a:r>
                  <a:rPr lang="en-US"/>
                  <a:t>Weight (pounds)</a:t>
                </a:r>
              </a:p>
            </c:rich>
          </c:tx>
          <c:layout>
            <c:manualLayout>
              <c:xMode val="edge"/>
              <c:yMode val="edge"/>
              <c:x val="1.2084575400925564E-2"/>
              <c:y val="0.372781414963578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333233736"/>
        <c:crossesAt val="50"/>
        <c:crossBetween val="midCat"/>
        <c:majorUnit val="100"/>
        <c:minorUnit val="10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</c:legendEntry>
      <c:layout>
        <c:manualLayout>
          <c:xMode val="edge"/>
          <c:yMode val="edge"/>
          <c:x val="5.5807096511126156E-2"/>
          <c:y val="1.2640449438202247E-2"/>
          <c:w val="0.84917170421570598"/>
          <c:h val="4.0730337078651688E-2"/>
        </c:manualLayout>
      </c:layout>
      <c:overlay val="0"/>
      <c:spPr>
        <a:solidFill>
          <a:srgbClr val="FF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99CC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19050</xdr:rowOff>
    </xdr:from>
    <xdr:to>
      <xdr:col>5</xdr:col>
      <xdr:colOff>47625</xdr:colOff>
      <xdr:row>48</xdr:row>
      <xdr:rowOff>142875</xdr:rowOff>
    </xdr:to>
    <xdr:graphicFrame macro="">
      <xdr:nvGraphicFramePr>
        <xdr:cNvPr id="1166" name="Chart 2">
          <a:extLst>
            <a:ext uri="{FF2B5EF4-FFF2-40B4-BE49-F238E27FC236}">
              <a16:creationId xmlns:a16="http://schemas.microsoft.com/office/drawing/2014/main" id="{B43DEEF2-8D44-45AB-943C-495344C277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15</xdr:row>
      <xdr:rowOff>0</xdr:rowOff>
    </xdr:from>
    <xdr:to>
      <xdr:col>8</xdr:col>
      <xdr:colOff>0</xdr:colOff>
      <xdr:row>18</xdr:row>
      <xdr:rowOff>9712</xdr:rowOff>
    </xdr:to>
    <xdr:sp macro="[0]!MyPrint" textlink="">
      <xdr:nvSpPr>
        <xdr:cNvPr id="4" name="AutoShape 3">
          <a:extLst>
            <a:ext uri="{FF2B5EF4-FFF2-40B4-BE49-F238E27FC236}">
              <a16:creationId xmlns:a16="http://schemas.microsoft.com/office/drawing/2014/main" id="{D71F8E36-4C4A-44CB-B6EF-4F498B87F775}"/>
            </a:ext>
          </a:extLst>
        </xdr:cNvPr>
        <xdr:cNvSpPr>
          <a:spLocks noChangeArrowheads="1"/>
        </xdr:cNvSpPr>
      </xdr:nvSpPr>
      <xdr:spPr bwMode="auto">
        <a:xfrm>
          <a:off x="7442200" y="3225800"/>
          <a:ext cx="1562100" cy="51435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339966"/>
              </a:solidFill>
              <a:latin typeface="Geneva"/>
            </a:rPr>
            <a:t>PRINT WORKSHEET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56"/>
  <sheetViews>
    <sheetView tabSelected="1" workbookViewId="0">
      <selection activeCell="H4" sqref="H4"/>
    </sheetView>
  </sheetViews>
  <sheetFormatPr defaultColWidth="11.375" defaultRowHeight="11.4"/>
  <cols>
    <col min="1" max="1" width="31.375" customWidth="1"/>
    <col min="2" max="2" width="6.25" bestFit="1" customWidth="1"/>
    <col min="3" max="3" width="11.125" style="1" bestFit="1" customWidth="1"/>
    <col min="4" max="4" width="11.375" style="1" bestFit="1" customWidth="1"/>
    <col min="5" max="5" width="14.625" style="1" bestFit="1" customWidth="1"/>
    <col min="6" max="6" width="3.375" customWidth="1"/>
    <col min="7" max="7" width="13" customWidth="1"/>
    <col min="8" max="8" width="9.75" customWidth="1"/>
    <col min="9" max="9" width="5.375" bestFit="1" customWidth="1"/>
    <col min="10" max="10" width="7.25" customWidth="1"/>
    <col min="11" max="11" width="18.875" bestFit="1" customWidth="1"/>
    <col min="12" max="12" width="7.125" bestFit="1" customWidth="1"/>
    <col min="13" max="13" width="5.875" bestFit="1" customWidth="1"/>
  </cols>
  <sheetData>
    <row r="1" spans="1:8" ht="21" customHeight="1" thickBot="1">
      <c r="A1" s="83" t="s">
        <v>5</v>
      </c>
      <c r="B1" s="84"/>
      <c r="C1" s="85" t="s">
        <v>45</v>
      </c>
      <c r="D1" s="86"/>
      <c r="E1" s="43" t="s">
        <v>46</v>
      </c>
      <c r="F1" s="24"/>
      <c r="G1" s="81" t="s">
        <v>12</v>
      </c>
      <c r="H1" s="82"/>
    </row>
    <row r="2" spans="1:8" ht="15.75" customHeight="1" thickBot="1">
      <c r="A2" s="44" t="s">
        <v>0</v>
      </c>
      <c r="B2" s="45"/>
      <c r="C2" s="46" t="s">
        <v>34</v>
      </c>
      <c r="D2" s="46" t="s">
        <v>35</v>
      </c>
      <c r="E2" s="47" t="s">
        <v>36</v>
      </c>
      <c r="F2" s="23"/>
      <c r="G2" s="16" t="s">
        <v>13</v>
      </c>
      <c r="H2" s="17"/>
    </row>
    <row r="3" spans="1:8" ht="15.75" customHeight="1">
      <c r="A3" s="48" t="s">
        <v>4</v>
      </c>
      <c r="B3" s="24"/>
      <c r="C3" s="72">
        <v>1452</v>
      </c>
      <c r="D3" s="49">
        <v>41.13</v>
      </c>
      <c r="E3" s="65">
        <v>59720.76</v>
      </c>
      <c r="F3" s="23"/>
      <c r="G3" s="87" t="s">
        <v>27</v>
      </c>
      <c r="H3" s="88"/>
    </row>
    <row r="4" spans="1:8" ht="15.75" customHeight="1">
      <c r="A4" s="50" t="s">
        <v>38</v>
      </c>
      <c r="B4" s="73">
        <v>6</v>
      </c>
      <c r="C4" s="69">
        <f>7.5/4*B4</f>
        <v>11.25</v>
      </c>
      <c r="D4" s="49">
        <v>-20</v>
      </c>
      <c r="E4" s="65">
        <f>IF(C4="","",C4*D4)</f>
        <v>-225</v>
      </c>
      <c r="F4" s="23"/>
      <c r="G4" s="40" t="s">
        <v>7</v>
      </c>
      <c r="H4" s="39">
        <v>195</v>
      </c>
    </row>
    <row r="5" spans="1:8" ht="15.75" customHeight="1">
      <c r="A5" s="50" t="s">
        <v>37</v>
      </c>
      <c r="B5" s="54">
        <v>30</v>
      </c>
      <c r="C5" s="61">
        <f>B5*6</f>
        <v>180</v>
      </c>
      <c r="D5" s="49">
        <v>48.15</v>
      </c>
      <c r="E5" s="65">
        <f>IF(C5="","",C5*D5)</f>
        <v>8667</v>
      </c>
      <c r="F5" s="23"/>
      <c r="G5" s="40" t="s">
        <v>8</v>
      </c>
      <c r="H5" s="39">
        <v>175</v>
      </c>
    </row>
    <row r="6" spans="1:8" ht="15.75" customHeight="1">
      <c r="A6" s="50" t="s">
        <v>6</v>
      </c>
      <c r="B6" s="42"/>
      <c r="C6" s="61">
        <v>300</v>
      </c>
      <c r="D6" s="49">
        <v>37</v>
      </c>
      <c r="E6" s="65">
        <f>IF(C6="","",C6*D6)</f>
        <v>11100</v>
      </c>
      <c r="F6" s="23"/>
      <c r="G6" s="40" t="s">
        <v>9</v>
      </c>
      <c r="H6" s="39"/>
    </row>
    <row r="7" spans="1:8" ht="15.75" customHeight="1" thickBot="1">
      <c r="A7" s="50" t="s">
        <v>44</v>
      </c>
      <c r="B7" s="42"/>
      <c r="C7" s="61">
        <f>H6+H7</f>
        <v>0</v>
      </c>
      <c r="D7" s="49">
        <v>73</v>
      </c>
      <c r="E7" s="65">
        <f>IF(C7="","",C7*D7)</f>
        <v>0</v>
      </c>
      <c r="F7" s="23"/>
      <c r="G7" s="41" t="s">
        <v>10</v>
      </c>
      <c r="H7" s="18"/>
    </row>
    <row r="8" spans="1:8" ht="15.75" customHeight="1">
      <c r="A8" s="50" t="s">
        <v>40</v>
      </c>
      <c r="B8" s="42" t="s">
        <v>43</v>
      </c>
      <c r="C8" s="69">
        <v>5</v>
      </c>
      <c r="D8" s="49">
        <v>95.39</v>
      </c>
      <c r="E8" s="65">
        <f>IF(C8="","",C8*D8)</f>
        <v>476.95</v>
      </c>
      <c r="F8" s="23"/>
      <c r="G8" s="74" t="s">
        <v>23</v>
      </c>
      <c r="H8" s="75"/>
    </row>
    <row r="9" spans="1:8" s="2" customFormat="1" ht="20.100000000000001" customHeight="1">
      <c r="A9" s="51" t="s">
        <v>3</v>
      </c>
      <c r="B9" s="52"/>
      <c r="C9" s="62">
        <f>SUM(C3:C8)</f>
        <v>1948.25</v>
      </c>
      <c r="D9" s="53">
        <f>E9/C9</f>
        <v>40.928890029513667</v>
      </c>
      <c r="E9" s="66">
        <f>SUM(E3:E8)</f>
        <v>79739.710000000006</v>
      </c>
      <c r="F9" s="3">
        <f>E9/1000</f>
        <v>79.739710000000002</v>
      </c>
      <c r="G9" s="40" t="s">
        <v>26</v>
      </c>
      <c r="H9" s="25">
        <v>30</v>
      </c>
    </row>
    <row r="10" spans="1:8" s="2" customFormat="1" ht="20.100000000000001" customHeight="1">
      <c r="A10" s="55" t="s">
        <v>25</v>
      </c>
      <c r="B10" s="56">
        <v>10</v>
      </c>
      <c r="C10" s="63">
        <f>6*B10*-1</f>
        <v>-60</v>
      </c>
      <c r="D10" s="57">
        <f>+D5</f>
        <v>48.15</v>
      </c>
      <c r="E10" s="67">
        <f>C10*D10</f>
        <v>-2889</v>
      </c>
      <c r="F10" s="3"/>
      <c r="G10" s="40" t="s">
        <v>39</v>
      </c>
      <c r="H10" s="25">
        <v>6</v>
      </c>
    </row>
    <row r="11" spans="1:8" s="2" customFormat="1" ht="20.100000000000001" customHeight="1" thickBot="1">
      <c r="A11" s="58" t="s">
        <v>42</v>
      </c>
      <c r="B11" s="59"/>
      <c r="C11" s="64">
        <f>+C9+C10</f>
        <v>1888.25</v>
      </c>
      <c r="D11" s="60">
        <f>+E11/C11</f>
        <v>40.699435985701051</v>
      </c>
      <c r="E11" s="68">
        <f>+E10+E9</f>
        <v>76850.710000000006</v>
      </c>
      <c r="F11" s="3">
        <f>+E11/1000</f>
        <v>76.850710000000007</v>
      </c>
      <c r="G11" s="41" t="s">
        <v>40</v>
      </c>
      <c r="H11" s="33"/>
    </row>
    <row r="12" spans="1:8" ht="12" thickBot="1">
      <c r="G12" s="2"/>
      <c r="H12" s="2"/>
    </row>
    <row r="13" spans="1:8" ht="12">
      <c r="G13" s="79" t="s">
        <v>11</v>
      </c>
      <c r="H13" s="80"/>
    </row>
    <row r="14" spans="1:8" ht="12.6" thickBot="1">
      <c r="G14" s="29">
        <f>I29-C9</f>
        <v>351.75</v>
      </c>
      <c r="H14" s="30"/>
    </row>
    <row r="20" spans="1:10" ht="22.8">
      <c r="A20" s="1" t="s">
        <v>1</v>
      </c>
      <c r="B20" s="1"/>
      <c r="D20" t="s">
        <v>2</v>
      </c>
      <c r="E20"/>
      <c r="G20" s="12" t="s">
        <v>22</v>
      </c>
      <c r="H20" s="13"/>
      <c r="I20" s="13"/>
      <c r="J20" s="19"/>
    </row>
    <row r="21" spans="1:10" ht="12">
      <c r="A21" s="1">
        <f>35*B21/1000</f>
        <v>52.5</v>
      </c>
      <c r="B21" s="1">
        <v>1500</v>
      </c>
      <c r="D21">
        <f>35*E21/1000</f>
        <v>52.5</v>
      </c>
      <c r="E21" s="1">
        <v>1500</v>
      </c>
      <c r="G21" s="31" t="str">
        <f>IF(C9&gt;I29,"Warning: Maximum Gross Weight Exceeded","")</f>
        <v/>
      </c>
      <c r="H21" s="14"/>
      <c r="I21" s="14"/>
      <c r="J21" s="20"/>
    </row>
    <row r="22" spans="1:10" ht="12">
      <c r="A22" s="1">
        <f>35*B22/1000</f>
        <v>68.775000000000006</v>
      </c>
      <c r="B22" s="1">
        <v>1965</v>
      </c>
      <c r="D22">
        <f>35*E22/1000</f>
        <v>68.775000000000006</v>
      </c>
      <c r="E22" s="1">
        <v>1965</v>
      </c>
      <c r="G22" s="31" t="str">
        <f>IF(((H10)&gt;(I30)),"Warning: Too Much Baggage Area 1","")</f>
        <v/>
      </c>
      <c r="H22" s="14"/>
      <c r="I22" s="14"/>
      <c r="J22" s="21"/>
    </row>
    <row r="23" spans="1:10" ht="12">
      <c r="A23" s="1">
        <f>35.5*B23/1000</f>
        <v>71</v>
      </c>
      <c r="B23" s="1">
        <v>2000</v>
      </c>
      <c r="D23">
        <f>38.5*E23/1000</f>
        <v>88.55</v>
      </c>
      <c r="E23" s="1">
        <v>2300</v>
      </c>
      <c r="G23" s="31"/>
      <c r="H23" s="14"/>
      <c r="I23" s="14"/>
      <c r="J23" s="21"/>
    </row>
    <row r="24" spans="1:10" ht="12">
      <c r="A24" s="1">
        <v>81</v>
      </c>
      <c r="B24" s="1">
        <v>2000</v>
      </c>
      <c r="D24">
        <f>41*E24/1000</f>
        <v>94.3</v>
      </c>
      <c r="E24" s="1">
        <v>2300</v>
      </c>
      <c r="G24" s="31" t="str">
        <f>IF(MAX(D9)&gt;I34,"Warning: C.G. Too Far Aft","")&amp;IF((D9&lt;(C9-H32)/(H33-H32)*(I33-I32)+I32),"Warning: C.G. Too Far Forward","")</f>
        <v/>
      </c>
      <c r="H24" s="14"/>
      <c r="I24" s="14"/>
      <c r="J24" s="20"/>
    </row>
    <row r="25" spans="1:10" ht="12">
      <c r="A25" s="1">
        <f>40.5*B25/1000</f>
        <v>60.75</v>
      </c>
      <c r="B25" s="1">
        <v>1500</v>
      </c>
      <c r="D25">
        <f>47.2*E25/1000</f>
        <v>108.56</v>
      </c>
      <c r="E25" s="1">
        <v>2300</v>
      </c>
      <c r="G25" s="31" t="str">
        <f>IF(B5&gt;I36,"Error: Too Much Fuel","")&amp;IF(B5-B10&lt;=I37,"Warning: Low Fuel at Landing","")</f>
        <v/>
      </c>
      <c r="H25" s="14"/>
      <c r="I25" s="14"/>
      <c r="J25" s="20"/>
    </row>
    <row r="26" spans="1:10" ht="12">
      <c r="A26" s="1"/>
      <c r="B26" s="1"/>
      <c r="D26">
        <f>47.3*E26/1000</f>
        <v>70.95</v>
      </c>
      <c r="E26" s="1">
        <v>1500</v>
      </c>
      <c r="G26" s="32" t="str">
        <f>IF(MAX(D11)&gt;I34,"Warning: C.G. Too Far Aft for Landing","")&amp;IF((D11&lt;(C11-H32)/(H33-H32)*(I33-I32)+I32),"Warning: C.G. Too Far Forward for Landing","")</f>
        <v/>
      </c>
      <c r="H26" s="15"/>
      <c r="I26" s="15"/>
      <c r="J26" s="22"/>
    </row>
    <row r="28" spans="1:10">
      <c r="G28" s="76" t="s">
        <v>29</v>
      </c>
      <c r="H28" s="77"/>
      <c r="I28" s="77"/>
      <c r="J28" s="78"/>
    </row>
    <row r="29" spans="1:10">
      <c r="G29" s="4" t="s">
        <v>30</v>
      </c>
      <c r="H29" s="35"/>
      <c r="I29" s="34">
        <v>2300</v>
      </c>
      <c r="J29" s="11" t="s">
        <v>20</v>
      </c>
    </row>
    <row r="30" spans="1:10">
      <c r="G30" s="4" t="s">
        <v>41</v>
      </c>
      <c r="H30" s="35"/>
      <c r="I30" s="34">
        <v>120</v>
      </c>
      <c r="J30" s="11" t="s">
        <v>20</v>
      </c>
    </row>
    <row r="31" spans="1:10">
      <c r="G31" s="4"/>
      <c r="H31" s="35"/>
      <c r="I31" s="34"/>
      <c r="J31" s="11"/>
    </row>
    <row r="32" spans="1:10">
      <c r="G32" s="4" t="s">
        <v>28</v>
      </c>
      <c r="H32" s="70">
        <v>1960</v>
      </c>
      <c r="I32" s="10">
        <f>68000/H32</f>
        <v>34.693877551020407</v>
      </c>
      <c r="J32" s="11" t="s">
        <v>24</v>
      </c>
    </row>
    <row r="33" spans="7:10">
      <c r="G33" s="4" t="s">
        <v>28</v>
      </c>
      <c r="H33" s="70">
        <v>2300</v>
      </c>
      <c r="I33" s="10">
        <f>88000/H33</f>
        <v>38.260869565217391</v>
      </c>
      <c r="J33" s="11" t="s">
        <v>24</v>
      </c>
    </row>
    <row r="34" spans="7:10">
      <c r="G34" s="4" t="s">
        <v>31</v>
      </c>
      <c r="H34" s="35"/>
      <c r="I34" s="10">
        <f>108500/2300</f>
        <v>47.173913043478258</v>
      </c>
      <c r="J34" s="11" t="s">
        <v>24</v>
      </c>
    </row>
    <row r="35" spans="7:10">
      <c r="G35" s="71"/>
      <c r="H35" s="35"/>
      <c r="I35" s="35"/>
      <c r="J35" s="11"/>
    </row>
    <row r="36" spans="7:10">
      <c r="G36" s="4" t="s">
        <v>32</v>
      </c>
      <c r="H36" s="35"/>
      <c r="I36" s="34">
        <v>38</v>
      </c>
      <c r="J36" s="11" t="s">
        <v>21</v>
      </c>
    </row>
    <row r="37" spans="7:10">
      <c r="G37" s="7" t="s">
        <v>33</v>
      </c>
      <c r="H37" s="36"/>
      <c r="I37" s="37">
        <v>10</v>
      </c>
      <c r="J37" s="38" t="s">
        <v>21</v>
      </c>
    </row>
    <row r="51" spans="7:9" ht="12">
      <c r="G51" s="26" t="s">
        <v>14</v>
      </c>
      <c r="H51" s="27"/>
      <c r="I51" s="28"/>
    </row>
    <row r="52" spans="7:9">
      <c r="G52" s="4" t="s">
        <v>15</v>
      </c>
      <c r="H52" s="5"/>
      <c r="I52" s="6"/>
    </row>
    <row r="53" spans="7:9">
      <c r="G53" s="4" t="s">
        <v>16</v>
      </c>
      <c r="H53" s="5"/>
      <c r="I53" s="6"/>
    </row>
    <row r="54" spans="7:9">
      <c r="G54" s="4" t="s">
        <v>17</v>
      </c>
      <c r="H54" s="5"/>
      <c r="I54" s="6"/>
    </row>
    <row r="55" spans="7:9">
      <c r="G55" s="4" t="s">
        <v>18</v>
      </c>
      <c r="H55" s="5"/>
      <c r="I55" s="6"/>
    </row>
    <row r="56" spans="7:9">
      <c r="G56" s="7" t="s">
        <v>19</v>
      </c>
      <c r="H56" s="8"/>
      <c r="I56" s="9"/>
    </row>
  </sheetData>
  <mergeCells count="7">
    <mergeCell ref="G8:H8"/>
    <mergeCell ref="G28:J28"/>
    <mergeCell ref="G13:H13"/>
    <mergeCell ref="G1:H1"/>
    <mergeCell ref="A1:B1"/>
    <mergeCell ref="C1:D1"/>
    <mergeCell ref="G3:H3"/>
  </mergeCells>
  <phoneticPr fontId="3" type="noConversion"/>
  <conditionalFormatting sqref="G14:H14">
    <cfRule type="cellIs" dxfId="2" priority="1" stopIfTrue="1" operator="lessThan">
      <formula>5</formula>
    </cfRule>
    <cfRule type="cellIs" dxfId="1" priority="2" stopIfTrue="1" operator="between">
      <formula>5</formula>
      <formula>10</formula>
    </cfRule>
    <cfRule type="cellIs" dxfId="0" priority="3" stopIfTrue="1" operator="greaterThan">
      <formula>10</formula>
    </cfRule>
  </conditionalFormatting>
  <pageMargins left="1" right="1" top="1" bottom="1" header="0.5" footer="0.5"/>
  <pageSetup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W&amp;B</vt:lpstr>
      <vt:lpstr>'W&amp;B'!Print_Area</vt:lpstr>
    </vt:vector>
  </TitlesOfParts>
  <Company>http://phreakmonkey.com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Cessna 172 Weight &amp; Balance Worksheet</dc:title>
  <dc:creator>K.C. Budd</dc:creator>
  <cp:lastModifiedBy>flybri</cp:lastModifiedBy>
  <cp:lastPrinted>2019-07-12T20:01:27Z</cp:lastPrinted>
  <dcterms:created xsi:type="dcterms:W3CDTF">2002-01-11T02:08:39Z</dcterms:created>
  <dcterms:modified xsi:type="dcterms:W3CDTF">2019-11-12T06:51:12Z</dcterms:modified>
</cp:coreProperties>
</file>